
<file path=[Content_Types].xml><?xml version="1.0" encoding="utf-8"?>
<Types xmlns="http://schemas.openxmlformats.org/package/2006/content-types">
  <Override PartName="/customXml/itemProps3.xml" ContentType="application/vnd.openxmlformats-officedocument.customXmlProperties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80" yWindow="300" windowWidth="17685" windowHeight="11085" activeTab="1"/>
  </bookViews>
  <sheets>
    <sheet name="Front Page" sheetId="14" r:id="rId1"/>
    <sheet name="Summary" sheetId="4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1">Summary!$A$1:$N$27</definedName>
  </definedNames>
  <calcPr calcId="145621"/>
</workbook>
</file>

<file path=xl/calcChain.xml><?xml version="1.0" encoding="utf-8"?>
<calcChain xmlns="http://schemas.openxmlformats.org/spreadsheetml/2006/main">
  <c r="N21" i="42" l="1"/>
  <c r="N20" i="42"/>
  <c r="N17" i="42"/>
  <c r="N10" i="42"/>
  <c r="N5" i="42"/>
  <c r="M39" i="42"/>
  <c r="M21" i="42"/>
  <c r="M20" i="42"/>
  <c r="M17" i="42"/>
  <c r="M10" i="42"/>
  <c r="M6" i="42"/>
  <c r="M5" i="42"/>
  <c r="L5" i="42"/>
  <c r="L7" i="42" s="1"/>
  <c r="L6" i="42"/>
  <c r="L17" i="42"/>
  <c r="L20" i="42"/>
  <c r="L21" i="42"/>
  <c r="N39" i="42"/>
  <c r="G21" i="42"/>
  <c r="G20" i="42"/>
  <c r="G10" i="42"/>
  <c r="G5" i="42"/>
  <c r="G6" i="42"/>
  <c r="K21" i="42"/>
  <c r="K20" i="42"/>
  <c r="K17" i="42"/>
  <c r="K6" i="42"/>
  <c r="K5" i="42"/>
  <c r="J21" i="42"/>
  <c r="J20" i="42"/>
  <c r="J17" i="42"/>
  <c r="J12" i="42"/>
  <c r="J10" i="42"/>
  <c r="J5" i="42"/>
  <c r="J6" i="42"/>
  <c r="I21" i="42"/>
  <c r="I20" i="42"/>
  <c r="I17" i="42"/>
  <c r="I12" i="42"/>
  <c r="I10" i="42"/>
  <c r="I5" i="42"/>
  <c r="I6" i="42"/>
  <c r="H21" i="42"/>
  <c r="H20" i="42"/>
  <c r="H17" i="42"/>
  <c r="H12" i="42"/>
  <c r="H10" i="42"/>
  <c r="H5" i="42"/>
  <c r="H6" i="42"/>
  <c r="F21" i="42"/>
  <c r="F17" i="42"/>
  <c r="F12" i="42"/>
  <c r="F10" i="42"/>
  <c r="F5" i="42"/>
  <c r="F20" i="42"/>
  <c r="F6" i="42"/>
  <c r="E21" i="42"/>
  <c r="E20" i="42"/>
  <c r="E17" i="42"/>
  <c r="E12" i="42"/>
  <c r="E10" i="42"/>
  <c r="E5" i="42"/>
  <c r="E6" i="42"/>
  <c r="D21" i="42"/>
  <c r="D20" i="42"/>
  <c r="D17" i="42"/>
  <c r="D12" i="42"/>
  <c r="D10" i="42"/>
  <c r="D5" i="42"/>
  <c r="D6" i="42"/>
  <c r="C21" i="42"/>
  <c r="C20" i="42"/>
  <c r="C17" i="42"/>
  <c r="C12" i="42"/>
  <c r="C10" i="42"/>
  <c r="C5" i="42"/>
  <c r="C6" i="42"/>
  <c r="B6" i="42"/>
  <c r="B21" i="42"/>
  <c r="B20" i="42"/>
  <c r="B17" i="42"/>
  <c r="B12" i="42"/>
  <c r="B10" i="42"/>
  <c r="B5" i="42"/>
  <c r="M32" i="42" l="1"/>
  <c r="M7" i="42"/>
  <c r="M33" i="42"/>
  <c r="N32" i="42"/>
  <c r="N33" i="42"/>
  <c r="G7" i="42"/>
  <c r="N7" i="42"/>
  <c r="J7" i="42"/>
  <c r="I7" i="42"/>
  <c r="H7" i="42"/>
  <c r="F7" i="42"/>
  <c r="E7" i="42"/>
  <c r="D7" i="42"/>
  <c r="C7" i="42"/>
  <c r="B7" i="42"/>
  <c r="M34" i="42" l="1"/>
  <c r="N34" i="42"/>
  <c r="K7" i="42"/>
  <c r="F14" i="42" l="1"/>
  <c r="G14" i="42" l="1"/>
  <c r="I14" i="42"/>
  <c r="M14" i="42"/>
  <c r="L14" i="42"/>
  <c r="H14" i="42"/>
  <c r="F23" i="42"/>
  <c r="C14" i="42"/>
  <c r="J14" i="42" l="1"/>
  <c r="G23" i="42"/>
  <c r="N14" i="42"/>
  <c r="J23" i="42"/>
  <c r="E14" i="42"/>
  <c r="M23" i="42"/>
  <c r="L23" i="42"/>
  <c r="H23" i="42"/>
  <c r="D14" i="42"/>
  <c r="K14" i="42"/>
  <c r="N23" i="42" l="1"/>
  <c r="I23" i="42"/>
  <c r="E23" i="42"/>
  <c r="D23" i="42"/>
  <c r="C23" i="42"/>
  <c r="K23" i="42" l="1"/>
  <c r="B14" i="42" l="1"/>
  <c r="B23" i="42" l="1"/>
  <c r="M30" i="42"/>
  <c r="N30" i="42"/>
</calcChain>
</file>

<file path=xl/sharedStrings.xml><?xml version="1.0" encoding="utf-8"?>
<sst xmlns="http://schemas.openxmlformats.org/spreadsheetml/2006/main" count="97" uniqueCount="65">
  <si>
    <t>Cost Estimate For:</t>
  </si>
  <si>
    <t>Project Name:</t>
  </si>
  <si>
    <t>State Project #:</t>
  </si>
  <si>
    <t>Federal Project #:</t>
  </si>
  <si>
    <t>Prepared By:</t>
  </si>
  <si>
    <t>Date:</t>
  </si>
  <si>
    <t>Total</t>
  </si>
  <si>
    <t>Item</t>
  </si>
  <si>
    <t>Roadway Length (ft)</t>
  </si>
  <si>
    <t>Bridge Length (ft)</t>
  </si>
  <si>
    <t>Total Length (ft)</t>
  </si>
  <si>
    <t>Est. Earthwork (CY)</t>
  </si>
  <si>
    <t>Residents Required</t>
  </si>
  <si>
    <t>Design Concerns</t>
  </si>
  <si>
    <t>Right-of-Way Cost</t>
  </si>
  <si>
    <t>Utility / Railroad Cost</t>
  </si>
  <si>
    <t>Engineering Cost</t>
  </si>
  <si>
    <t>Construction Mid-point (assumed)</t>
  </si>
  <si>
    <t>Enviromental Clearance: NEPA $400,000 all alternatives  &lt;&gt;   Endangered Species varies $50,000 to $600,000 depending on likelyhood of finding species for given alignment (cost provided by Lovel Facemire on 11/16/09)</t>
  </si>
  <si>
    <t>NEPA (process includes: 2 public meetings, SHPO, wetlands/stream)</t>
  </si>
  <si>
    <t>Mitigation Cost (6f / 4f)</t>
  </si>
  <si>
    <t>(Construction Year)</t>
  </si>
  <si>
    <t>Envir. Clearance</t>
  </si>
  <si>
    <t>(duration) Cost</t>
  </si>
  <si>
    <t>(3 years)</t>
  </si>
  <si>
    <t>Madison RR Overpass Bridge</t>
  </si>
  <si>
    <t>X203-17/11-0.00</t>
  </si>
  <si>
    <t>County:</t>
  </si>
  <si>
    <t>Boone</t>
  </si>
  <si>
    <t>M. White</t>
  </si>
  <si>
    <t>Near existing bridge</t>
  </si>
  <si>
    <t>3000' up stream of existing bridge</t>
  </si>
  <si>
    <t>350' up stream of existing bridge</t>
  </si>
  <si>
    <t>1400' up stream of existing bridge</t>
  </si>
  <si>
    <t>1 mile+ up stream of existing bridge</t>
  </si>
  <si>
    <t>Design Speed (mph)*</t>
  </si>
  <si>
    <t>Maximum Grade       (% rounded)**</t>
  </si>
  <si>
    <t>Maintaining traffic during construction.  Substantial R/W impacts and cost.</t>
  </si>
  <si>
    <t>Future Value ****</t>
  </si>
  <si>
    <t>Mitigation Cost: for r/w of land, assume $40,000/acre  &lt;&gt;   $200,000 to $350,000 for permanent resident structures &lt;&gt;   $100,000 for mobil homes</t>
  </si>
  <si>
    <t>Alternatives</t>
  </si>
  <si>
    <t xml:space="preserve">**** Future value of construction cost using compound interest { FV=PV(1+i)^n} has been calculated from the estimate date of July 2010 to construction year indicated above, using inflation rate of 5%.                                                           </t>
  </si>
  <si>
    <t>Maintaining D/W access and Nathan St. access.                        Tight work area.</t>
  </si>
  <si>
    <t xml:space="preserve">* Limiting factor for design speed is vertical curves.  **Maximum grade of new bridge and not sideroads or existing subdivision roads.  ***Alternatives may be extended through subdivision beyond what is shown.      </t>
  </si>
  <si>
    <t>***Substancial R/W and cost potential.            Impacts multi-lot site.</t>
  </si>
  <si>
    <t>***Substantial R/W and cost potential.            Grade of existing roads.</t>
  </si>
  <si>
    <t>Maintaining D/W access and Nathan St. access.                        Tight work area.        Temporary detour costs.</t>
  </si>
  <si>
    <t xml:space="preserve">Maintaining Nathan St. access.   </t>
  </si>
  <si>
    <t>5A</t>
  </si>
  <si>
    <t xml:space="preserve">***Substantial R/W and cost potential.  </t>
  </si>
  <si>
    <t xml:space="preserve">Maintaining D/W access and Nathan St. access.                        Tight work area.     </t>
  </si>
  <si>
    <t>PE</t>
  </si>
  <si>
    <t>CON</t>
  </si>
  <si>
    <t>R/W&amp;UTI</t>
  </si>
  <si>
    <t>2014 dollars</t>
  </si>
  <si>
    <t xml:space="preserve">Estimated No. of           Properties Impacted  </t>
  </si>
  <si>
    <t>Maintaining D/W access for reidents.  Creating Dead end street.                 Temporary detour cost.                            Tight work area. Permanently reopening Franklin St intersection with WV 17.</t>
  </si>
  <si>
    <t>Maintaining traffic during construction.       Creating Dead end street.            Permanently reopening Franklin Street intersection with WV 17.</t>
  </si>
  <si>
    <t>***Substantial R/W and cost potential.        Curve on southend of bridge.</t>
  </si>
  <si>
    <t>***Substantial R/W and cost potential.        Traffic impact to subdivision on northside of WV 17. Grade of existing roads.</t>
  </si>
  <si>
    <t>11A</t>
  </si>
  <si>
    <t>(2014)</t>
  </si>
  <si>
    <t>Tight work area.</t>
  </si>
  <si>
    <t xml:space="preserve">2012 Construction  Cost </t>
  </si>
  <si>
    <t xml:space="preserve">**** Future value of construction cost using compound interest { FV=PV(1+i)^n} has been calculated from the estimate date of Fall 2012 to estimated construction midpoint, using inflation rate of 4%.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</si>
</sst>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44" fontId="1" fillId="0" borderId="0" xfId="1" applyFont="1"/>
    <xf numFmtId="44" fontId="1" fillId="0" borderId="0" xfId="1"/>
    <xf numFmtId="0" fontId="0" fillId="0" borderId="0" xfId="0" applyFill="1"/>
    <xf numFmtId="44" fontId="1" fillId="0" borderId="0" xfId="1" applyFont="1" applyFill="1"/>
    <xf numFmtId="44" fontId="1" fillId="0" borderId="0" xfId="1" applyFill="1"/>
    <xf numFmtId="0" fontId="3" fillId="0" borderId="0" xfId="0" applyFont="1" applyFill="1"/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44" fontId="7" fillId="0" borderId="0" xfId="1" applyFont="1" applyAlignment="1">
      <alignment horizontal="right"/>
    </xf>
    <xf numFmtId="44" fontId="7" fillId="0" borderId="0" xfId="1" applyFont="1" applyFill="1" applyAlignment="1">
      <alignment horizontal="right"/>
    </xf>
    <xf numFmtId="14" fontId="7" fillId="0" borderId="0" xfId="1" applyNumberFormat="1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3" xfId="0" applyBorder="1"/>
    <xf numFmtId="0" fontId="0" fillId="0" borderId="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Fill="1" applyBorder="1"/>
    <xf numFmtId="42" fontId="0" fillId="0" borderId="1" xfId="0" applyNumberFormat="1" applyFill="1" applyBorder="1" applyAlignment="1">
      <alignment horizontal="center"/>
    </xf>
    <xf numFmtId="14" fontId="1" fillId="0" borderId="0" xfId="1" applyNumberFormat="1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10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1" fillId="0" borderId="0" xfId="0" applyFont="1"/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3" fontId="0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3" fontId="0" fillId="2" borderId="1" xfId="1" applyNumberFormat="1" applyFont="1" applyFill="1" applyBorder="1" applyAlignment="1">
      <alignment horizontal="center"/>
    </xf>
    <xf numFmtId="3" fontId="0" fillId="2" borderId="1" xfId="1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8" fillId="2" borderId="1" xfId="0" applyFont="1" applyFill="1" applyBorder="1"/>
    <xf numFmtId="42" fontId="0" fillId="2" borderId="8" xfId="0" applyNumberForma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42" fontId="0" fillId="0" borderId="0" xfId="0" applyNumberFormat="1"/>
    <xf numFmtId="6" fontId="0" fillId="0" borderId="0" xfId="0" applyNumberFormat="1"/>
    <xf numFmtId="0" fontId="9" fillId="0" borderId="0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5" fontId="0" fillId="3" borderId="3" xfId="0" applyNumberFormat="1" applyFill="1" applyBorder="1" applyAlignment="1">
      <alignment horizontal="center"/>
    </xf>
    <xf numFmtId="5" fontId="0" fillId="3" borderId="3" xfId="0" quotePrefix="1" applyNumberFormat="1" applyFill="1" applyBorder="1" applyAlignment="1">
      <alignment horizontal="center" wrapText="1"/>
    </xf>
    <xf numFmtId="5" fontId="1" fillId="3" borderId="3" xfId="0" quotePrefix="1" applyNumberFormat="1" applyFont="1" applyFill="1" applyBorder="1" applyAlignment="1">
      <alignment horizontal="center" wrapText="1"/>
    </xf>
    <xf numFmtId="44" fontId="0" fillId="3" borderId="3" xfId="0" applyNumberFormat="1" applyFill="1" applyBorder="1" applyAlignment="1">
      <alignment horizontal="center"/>
    </xf>
    <xf numFmtId="5" fontId="0" fillId="3" borderId="3" xfId="1" applyNumberFormat="1" applyFont="1" applyFill="1" applyBorder="1" applyAlignment="1">
      <alignment horizontal="center" wrapText="1"/>
    </xf>
    <xf numFmtId="0" fontId="8" fillId="3" borderId="1" xfId="0" applyFont="1" applyFill="1" applyBorder="1"/>
    <xf numFmtId="42" fontId="0" fillId="3" borderId="1" xfId="0" applyNumberFormat="1" applyFill="1" applyBorder="1" applyAlignment="1">
      <alignment horizontal="center"/>
    </xf>
    <xf numFmtId="0" fontId="1" fillId="3" borderId="11" xfId="0" applyFont="1" applyFill="1" applyBorder="1"/>
    <xf numFmtId="42" fontId="1" fillId="3" borderId="3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wrapText="1"/>
    </xf>
    <xf numFmtId="42" fontId="0" fillId="3" borderId="8" xfId="0" applyNumberFormat="1" applyFill="1" applyBorder="1" applyAlignment="1">
      <alignment horizontal="center"/>
    </xf>
    <xf numFmtId="42" fontId="0" fillId="3" borderId="2" xfId="0" applyNumberFormat="1" applyFill="1" applyBorder="1" applyAlignment="1">
      <alignment horizontal="center"/>
    </xf>
    <xf numFmtId="42" fontId="0" fillId="3" borderId="12" xfId="0" applyNumberFormat="1" applyFill="1" applyBorder="1" applyAlignment="1">
      <alignment horizontal="center"/>
    </xf>
    <xf numFmtId="42" fontId="0" fillId="3" borderId="1" xfId="0" quotePrefix="1" applyNumberFormat="1" applyFill="1" applyBorder="1" applyAlignment="1">
      <alignment horizontal="center" wrapText="1"/>
    </xf>
    <xf numFmtId="42" fontId="0" fillId="3" borderId="1" xfId="1" applyNumberFormat="1" applyFont="1" applyFill="1" applyBorder="1" applyAlignment="1">
      <alignment horizontal="center" wrapText="1"/>
    </xf>
    <xf numFmtId="0" fontId="1" fillId="2" borderId="3" xfId="0" applyFont="1" applyFill="1" applyBorder="1"/>
    <xf numFmtId="42" fontId="1" fillId="2" borderId="9" xfId="0" quotePrefix="1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6" fontId="0" fillId="2" borderId="2" xfId="0" applyNumberFormat="1" applyFill="1" applyBorder="1" applyAlignment="1">
      <alignment horizontal="center"/>
    </xf>
    <xf numFmtId="6" fontId="0" fillId="2" borderId="8" xfId="0" applyNumberFormat="1" applyFill="1" applyBorder="1" applyAlignment="1">
      <alignment horizontal="center"/>
    </xf>
    <xf numFmtId="6" fontId="0" fillId="2" borderId="10" xfId="0" applyNumberFormat="1" applyFill="1" applyBorder="1" applyAlignment="1">
      <alignment horizontal="center"/>
    </xf>
    <xf numFmtId="6" fontId="0" fillId="2" borderId="12" xfId="0" applyNumberFormat="1" applyFill="1" applyBorder="1" applyAlignment="1">
      <alignment horizontal="center"/>
    </xf>
    <xf numFmtId="8" fontId="0" fillId="2" borderId="8" xfId="0" applyNumberFormat="1" applyFill="1" applyBorder="1" applyAlignment="1">
      <alignment horizontal="center"/>
    </xf>
    <xf numFmtId="0" fontId="8" fillId="2" borderId="8" xfId="0" applyFont="1" applyFill="1" applyBorder="1"/>
    <xf numFmtId="42" fontId="0" fillId="2" borderId="8" xfId="0" quotePrefix="1" applyNumberForma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/>
    </xf>
    <xf numFmtId="42" fontId="2" fillId="2" borderId="1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44" fontId="0" fillId="4" borderId="3" xfId="0" applyNumberFormat="1" applyFill="1" applyBorder="1" applyAlignment="1">
      <alignment horizontal="center"/>
    </xf>
    <xf numFmtId="42" fontId="1" fillId="4" borderId="9" xfId="0" quotePrefix="1" applyNumberFormat="1" applyFont="1" applyFill="1" applyBorder="1" applyAlignment="1">
      <alignment horizontal="center"/>
    </xf>
    <xf numFmtId="6" fontId="0" fillId="4" borderId="2" xfId="0" applyNumberFormat="1" applyFill="1" applyBorder="1" applyAlignment="1">
      <alignment horizontal="center"/>
    </xf>
    <xf numFmtId="42" fontId="0" fillId="4" borderId="1" xfId="0" applyNumberFormat="1" applyFill="1" applyBorder="1" applyAlignment="1">
      <alignment horizontal="center"/>
    </xf>
    <xf numFmtId="42" fontId="1" fillId="4" borderId="3" xfId="0" applyNumberFormat="1" applyFont="1" applyFill="1" applyBorder="1" applyAlignment="1">
      <alignment horizontal="center"/>
    </xf>
    <xf numFmtId="42" fontId="0" fillId="4" borderId="8" xfId="0" applyNumberFormat="1" applyFill="1" applyBorder="1" applyAlignment="1">
      <alignment horizontal="center"/>
    </xf>
    <xf numFmtId="42" fontId="0" fillId="4" borderId="8" xfId="0" quotePrefix="1" applyNumberFormat="1" applyFill="1" applyBorder="1" applyAlignment="1">
      <alignment horizontal="center" wrapText="1"/>
    </xf>
    <xf numFmtId="42" fontId="2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top" wrapText="1"/>
    </xf>
    <xf numFmtId="0" fontId="0" fillId="4" borderId="0" xfId="0" applyFill="1"/>
    <xf numFmtId="0" fontId="0" fillId="4" borderId="6" xfId="0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8" fontId="0" fillId="4" borderId="8" xfId="0" applyNumberForma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0" fillId="4" borderId="0" xfId="0" applyFill="1" applyAlignment="1">
      <alignment horizontal="right"/>
    </xf>
    <xf numFmtId="6" fontId="0" fillId="4" borderId="0" xfId="0" applyNumberFormat="1" applyFill="1"/>
    <xf numFmtId="42" fontId="0" fillId="4" borderId="0" xfId="0" applyNumberFormat="1" applyFill="1"/>
    <xf numFmtId="0" fontId="4" fillId="0" borderId="0" xfId="0" applyFont="1" applyFill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Relationship Id="rId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cost%20estimate%20Alt%23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cost%20estimate%20Alt%23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cost%20estimate%20Alt%23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cost%20estimate%20Alt%23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cost%20estimate%20Alt%2311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Bridge%20Alt%23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Bridge%20Alt%23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Bridge%20Alt%23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Bridge%20Alt%23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Bridge%20Alt%23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Bridge%20Alt%235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cost%20estimate%20Alt%2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Bridge%20Alt%23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Bridge%20Alt%23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Bridge%20Alt%23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Bridge%20Alt%23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Bridge%20Alt%23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Bridge%20Alt%23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cost%20estimate%20Alt%23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cost%20estimate%20Alt%23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cost%20estimate%20Alt%23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cost%20estimate%20Alt%235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cost%20estimate%20Alt%23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cost%20estimate%20Alt%23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87090/AppData/Local/Microsoft/Windows/Temporary%20Internet%20Files/Content.Outlook/SY8MVYE5/Madison%20RROP%20cost%20estimate%20Alt%2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lt #1"/>
      <sheetName val="Bridge Est"/>
      <sheetName val="ROW"/>
    </sheetNames>
    <sheetDataSet>
      <sheetData sheetId="0"/>
      <sheetData sheetId="1">
        <row r="9">
          <cell r="B9">
            <v>765</v>
          </cell>
        </row>
        <row r="10">
          <cell r="E10">
            <v>1550</v>
          </cell>
        </row>
        <row r="11">
          <cell r="E11">
            <v>16960</v>
          </cell>
        </row>
        <row r="110">
          <cell r="H110">
            <v>3999206.1367995795</v>
          </cell>
        </row>
        <row r="114">
          <cell r="L114">
            <v>700000</v>
          </cell>
        </row>
      </sheetData>
      <sheetData sheetId="2"/>
      <sheetData sheetId="3">
        <row r="6">
          <cell r="D6">
            <v>3</v>
          </cell>
        </row>
        <row r="9">
          <cell r="F9">
            <v>1110000</v>
          </cell>
        </row>
        <row r="16">
          <cell r="F16">
            <v>475000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lt #9"/>
      <sheetName val="Bridge Est"/>
      <sheetName val="ROW"/>
    </sheetNames>
    <sheetDataSet>
      <sheetData sheetId="0"/>
      <sheetData sheetId="1">
        <row r="9">
          <cell r="B9">
            <v>833</v>
          </cell>
        </row>
        <row r="110">
          <cell r="H110">
            <v>3274512.8711455707</v>
          </cell>
        </row>
        <row r="114">
          <cell r="L114">
            <v>700000</v>
          </cell>
        </row>
      </sheetData>
      <sheetData sheetId="2"/>
      <sheetData sheetId="3">
        <row r="10">
          <cell r="F10">
            <v>230000</v>
          </cell>
        </row>
        <row r="17">
          <cell r="F17">
            <v>475000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lt #10"/>
      <sheetName val="Bridge Est"/>
      <sheetName val="ROW"/>
    </sheetNames>
    <sheetDataSet>
      <sheetData sheetId="0"/>
      <sheetData sheetId="1">
        <row r="9">
          <cell r="B9">
            <v>750</v>
          </cell>
        </row>
        <row r="110">
          <cell r="H110">
            <v>4270904.2010460086</v>
          </cell>
        </row>
        <row r="114">
          <cell r="L114">
            <v>700000</v>
          </cell>
        </row>
      </sheetData>
      <sheetData sheetId="2"/>
      <sheetData sheetId="3">
        <row r="10">
          <cell r="F10">
            <v>280000</v>
          </cell>
        </row>
        <row r="17">
          <cell r="F17">
            <v>475000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lt #11"/>
      <sheetName val="Bridge Est"/>
      <sheetName val="ROW"/>
    </sheetNames>
    <sheetDataSet>
      <sheetData sheetId="0"/>
      <sheetData sheetId="1">
        <row r="9">
          <cell r="B9">
            <v>820</v>
          </cell>
        </row>
        <row r="10">
          <cell r="E10">
            <v>1900</v>
          </cell>
        </row>
        <row r="11">
          <cell r="E11">
            <v>12700</v>
          </cell>
        </row>
        <row r="110">
          <cell r="H110">
            <v>3468993.1080439286</v>
          </cell>
        </row>
      </sheetData>
      <sheetData sheetId="2"/>
      <sheetData sheetId="3">
        <row r="10">
          <cell r="F10">
            <v>645000</v>
          </cell>
        </row>
        <row r="17">
          <cell r="F17">
            <v>475000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lt #11A"/>
      <sheetName val="Bridge Est"/>
      <sheetName val="ROW"/>
    </sheetNames>
    <sheetDataSet>
      <sheetData sheetId="0"/>
      <sheetData sheetId="1">
        <row r="9">
          <cell r="B9">
            <v>820</v>
          </cell>
        </row>
        <row r="10">
          <cell r="E10">
            <v>1300</v>
          </cell>
        </row>
        <row r="11">
          <cell r="E11">
            <v>14600</v>
          </cell>
        </row>
        <row r="110">
          <cell r="H110">
            <v>3446224.4066689289</v>
          </cell>
        </row>
        <row r="114">
          <cell r="L114">
            <v>700000</v>
          </cell>
        </row>
      </sheetData>
      <sheetData sheetId="2"/>
      <sheetData sheetId="3">
        <row r="10">
          <cell r="F10">
            <v>720000</v>
          </cell>
        </row>
        <row r="17">
          <cell r="F17">
            <v>470000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"/>
      <sheetName val="QTY"/>
    </sheetNames>
    <sheetDataSet>
      <sheetData sheetId="0"/>
      <sheetData sheetId="1">
        <row r="12">
          <cell r="D12">
            <v>335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"/>
      <sheetName val="QTY"/>
    </sheetNames>
    <sheetDataSet>
      <sheetData sheetId="0"/>
      <sheetData sheetId="1">
        <row r="12">
          <cell r="D12">
            <v>280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"/>
      <sheetName val="QTY"/>
    </sheetNames>
    <sheetDataSet>
      <sheetData sheetId="0"/>
      <sheetData sheetId="1">
        <row r="12">
          <cell r="D12">
            <v>280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"/>
      <sheetName val="QTY"/>
    </sheetNames>
    <sheetDataSet>
      <sheetData sheetId="0"/>
      <sheetData sheetId="1">
        <row r="12">
          <cell r="D12">
            <v>280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"/>
      <sheetName val="QTY"/>
    </sheetNames>
    <sheetDataSet>
      <sheetData sheetId="0"/>
      <sheetData sheetId="1">
        <row r="12">
          <cell r="D12">
            <v>340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"/>
      <sheetName val="QTY"/>
    </sheetNames>
    <sheetDataSet>
      <sheetData sheetId="0"/>
      <sheetData sheetId="1">
        <row r="12">
          <cell r="D12">
            <v>340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lt #2"/>
      <sheetName val="Bridge Est"/>
      <sheetName val="ROW"/>
    </sheetNames>
    <sheetDataSet>
      <sheetData sheetId="0"/>
      <sheetData sheetId="1">
        <row r="9">
          <cell r="B9">
            <v>820</v>
          </cell>
        </row>
        <row r="10">
          <cell r="E10">
            <v>1900</v>
          </cell>
        </row>
        <row r="11">
          <cell r="E11">
            <v>19000</v>
          </cell>
        </row>
        <row r="110">
          <cell r="H110">
            <v>3744165.3076189286</v>
          </cell>
        </row>
        <row r="114">
          <cell r="L114">
            <v>700000</v>
          </cell>
        </row>
      </sheetData>
      <sheetData sheetId="2"/>
      <sheetData sheetId="3">
        <row r="6">
          <cell r="D6">
            <v>2</v>
          </cell>
        </row>
        <row r="10">
          <cell r="F10">
            <v>725000</v>
          </cell>
        </row>
        <row r="17">
          <cell r="F17">
            <v>475000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"/>
      <sheetName val="QTY"/>
    </sheetNames>
    <sheetDataSet>
      <sheetData sheetId="0"/>
      <sheetData sheetId="1">
        <row r="12">
          <cell r="D12">
            <v>470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"/>
      <sheetName val="QTY"/>
    </sheetNames>
    <sheetDataSet>
      <sheetData sheetId="0"/>
      <sheetData sheetId="1">
        <row r="12">
          <cell r="D12">
            <v>385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"/>
      <sheetName val="QTY"/>
    </sheetNames>
    <sheetDataSet>
      <sheetData sheetId="0"/>
      <sheetData sheetId="1">
        <row r="12">
          <cell r="D12">
            <v>280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"/>
      <sheetName val="QTY"/>
    </sheetNames>
    <sheetDataSet>
      <sheetData sheetId="0"/>
      <sheetData sheetId="1">
        <row r="12">
          <cell r="D12">
            <v>267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"/>
      <sheetName val="QTY"/>
    </sheetNames>
    <sheetDataSet>
      <sheetData sheetId="0"/>
      <sheetData sheetId="1">
        <row r="12">
          <cell r="D12">
            <v>350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"/>
      <sheetName val="QTY"/>
    </sheetNames>
    <sheetDataSet>
      <sheetData sheetId="0"/>
      <sheetData sheetId="1">
        <row r="12">
          <cell r="D12">
            <v>280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lt #3"/>
      <sheetName val="Bridge Est"/>
      <sheetName val="ROW"/>
    </sheetNames>
    <sheetDataSet>
      <sheetData sheetId="0"/>
      <sheetData sheetId="1">
        <row r="9">
          <cell r="B9">
            <v>820</v>
          </cell>
        </row>
        <row r="10">
          <cell r="E10">
            <v>1700</v>
          </cell>
        </row>
        <row r="11">
          <cell r="E11">
            <v>14000</v>
          </cell>
        </row>
        <row r="110">
          <cell r="H110">
            <v>4130738.1818262707</v>
          </cell>
        </row>
        <row r="114">
          <cell r="L114">
            <v>700000</v>
          </cell>
        </row>
      </sheetData>
      <sheetData sheetId="2"/>
      <sheetData sheetId="3">
        <row r="6">
          <cell r="D6">
            <v>0</v>
          </cell>
        </row>
        <row r="10">
          <cell r="F10">
            <v>240000</v>
          </cell>
        </row>
        <row r="17">
          <cell r="F17">
            <v>475000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lt #4"/>
      <sheetName val="Bridge Est"/>
      <sheetName val="ROW"/>
    </sheetNames>
    <sheetDataSet>
      <sheetData sheetId="0"/>
      <sheetData sheetId="1">
        <row r="9">
          <cell r="B9">
            <v>805</v>
          </cell>
        </row>
        <row r="10">
          <cell r="E10">
            <v>3400</v>
          </cell>
        </row>
        <row r="11">
          <cell r="E11">
            <v>11880</v>
          </cell>
        </row>
        <row r="110">
          <cell r="H110">
            <v>3390910.8764125155</v>
          </cell>
        </row>
        <row r="114">
          <cell r="L114">
            <v>700000</v>
          </cell>
        </row>
      </sheetData>
      <sheetData sheetId="2"/>
      <sheetData sheetId="3">
        <row r="6">
          <cell r="D6">
            <v>1</v>
          </cell>
        </row>
        <row r="10">
          <cell r="F10">
            <v>625000</v>
          </cell>
        </row>
        <row r="17">
          <cell r="F17">
            <v>475000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lt #5"/>
      <sheetName val="Bridge Est"/>
      <sheetName val="ROW"/>
    </sheetNames>
    <sheetDataSet>
      <sheetData sheetId="0"/>
      <sheetData sheetId="1">
        <row r="9">
          <cell r="B9">
            <v>280</v>
          </cell>
        </row>
        <row r="10">
          <cell r="E10">
            <v>1290</v>
          </cell>
        </row>
        <row r="11">
          <cell r="E11">
            <v>11400</v>
          </cell>
        </row>
        <row r="110">
          <cell r="H110">
            <v>3576526.2735155495</v>
          </cell>
        </row>
        <row r="114">
          <cell r="L114">
            <v>700000</v>
          </cell>
        </row>
      </sheetData>
      <sheetData sheetId="2"/>
      <sheetData sheetId="3">
        <row r="6">
          <cell r="D6">
            <v>0</v>
          </cell>
        </row>
        <row r="10">
          <cell r="F10">
            <v>140000</v>
          </cell>
        </row>
        <row r="17">
          <cell r="F17">
            <v>475000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lt #5A"/>
      <sheetName val="Bridge Est"/>
      <sheetName val="ROW"/>
    </sheetNames>
    <sheetDataSet>
      <sheetData sheetId="0"/>
      <sheetData sheetId="1">
        <row r="9">
          <cell r="B9">
            <v>792</v>
          </cell>
        </row>
        <row r="10">
          <cell r="E10">
            <v>4334</v>
          </cell>
        </row>
        <row r="11">
          <cell r="E11">
            <v>10755</v>
          </cell>
        </row>
        <row r="110">
          <cell r="H110">
            <v>3816362.134182374</v>
          </cell>
        </row>
      </sheetData>
      <sheetData sheetId="2"/>
      <sheetData sheetId="3">
        <row r="10">
          <cell r="F10">
            <v>300000</v>
          </cell>
        </row>
        <row r="17">
          <cell r="F17">
            <v>635000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lt #6"/>
      <sheetName val="Bridge Est"/>
      <sheetName val="ROW"/>
    </sheetNames>
    <sheetDataSet>
      <sheetData sheetId="0"/>
      <sheetData sheetId="1">
        <row r="9">
          <cell r="B9">
            <v>760</v>
          </cell>
        </row>
        <row r="10">
          <cell r="E10">
            <v>1200</v>
          </cell>
        </row>
        <row r="11">
          <cell r="E11">
            <v>55100</v>
          </cell>
        </row>
        <row r="110">
          <cell r="H110">
            <v>5894471.2079832759</v>
          </cell>
        </row>
        <row r="114">
          <cell r="L114">
            <v>700000</v>
          </cell>
        </row>
      </sheetData>
      <sheetData sheetId="2"/>
      <sheetData sheetId="3">
        <row r="6">
          <cell r="D6">
            <v>0</v>
          </cell>
        </row>
        <row r="9">
          <cell r="F9">
            <v>405000</v>
          </cell>
        </row>
        <row r="16">
          <cell r="F16">
            <v>475000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lt #7"/>
      <sheetName val="Bridge Est"/>
      <sheetName val="ROW"/>
    </sheetNames>
    <sheetDataSet>
      <sheetData sheetId="0"/>
      <sheetData sheetId="1">
        <row r="9">
          <cell r="B9">
            <v>525</v>
          </cell>
        </row>
        <row r="10">
          <cell r="E10">
            <v>1000</v>
          </cell>
        </row>
        <row r="11">
          <cell r="E11">
            <v>13000</v>
          </cell>
        </row>
        <row r="110">
          <cell r="H110">
            <v>3547665.0868894667</v>
          </cell>
        </row>
        <row r="114">
          <cell r="L114">
            <v>700000</v>
          </cell>
        </row>
      </sheetData>
      <sheetData sheetId="2"/>
      <sheetData sheetId="3">
        <row r="6">
          <cell r="D6">
            <v>2</v>
          </cell>
        </row>
        <row r="9">
          <cell r="F9">
            <v>350000</v>
          </cell>
        </row>
        <row r="16">
          <cell r="F16">
            <v>475000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lt #8"/>
      <sheetName val="Bridge Est"/>
      <sheetName val="ROW"/>
    </sheetNames>
    <sheetDataSet>
      <sheetData sheetId="0"/>
      <sheetData sheetId="1">
        <row r="9">
          <cell r="B9">
            <v>720</v>
          </cell>
        </row>
        <row r="10">
          <cell r="E10">
            <v>34400</v>
          </cell>
        </row>
        <row r="11">
          <cell r="E11">
            <v>0</v>
          </cell>
        </row>
        <row r="110">
          <cell r="H110">
            <v>3476570.4374178401</v>
          </cell>
        </row>
        <row r="114">
          <cell r="L114">
            <v>700000</v>
          </cell>
        </row>
      </sheetData>
      <sheetData sheetId="2"/>
      <sheetData sheetId="3">
        <row r="6">
          <cell r="D6">
            <v>0</v>
          </cell>
        </row>
        <row r="9">
          <cell r="F9">
            <v>670000</v>
          </cell>
        </row>
        <row r="16">
          <cell r="F16">
            <v>475000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0"/>
  <sheetViews>
    <sheetView zoomScaleNormal="100" workbookViewId="0">
      <selection activeCell="D22" sqref="D22"/>
    </sheetView>
  </sheetViews>
  <sheetFormatPr defaultRowHeight="12.75" x14ac:dyDescent="0.2"/>
  <cols>
    <col min="1" max="1" width="15.7109375" customWidth="1"/>
    <col min="2" max="3" width="24.7109375" customWidth="1"/>
    <col min="4" max="4" width="14.7109375" customWidth="1"/>
    <col min="5" max="5" width="13.85546875" customWidth="1"/>
    <col min="6" max="8" width="10.7109375" customWidth="1"/>
  </cols>
  <sheetData>
    <row r="5" spans="1:3" ht="26.25" x14ac:dyDescent="0.4">
      <c r="A5" s="9"/>
      <c r="B5" s="115" t="s">
        <v>0</v>
      </c>
      <c r="C5" s="115"/>
    </row>
    <row r="6" spans="1:3" ht="23.25" x14ac:dyDescent="0.35">
      <c r="A6" s="10"/>
      <c r="B6" s="13" t="s">
        <v>1</v>
      </c>
      <c r="C6" s="12" t="s">
        <v>25</v>
      </c>
    </row>
    <row r="7" spans="1:3" ht="23.25" x14ac:dyDescent="0.35">
      <c r="A7" s="10"/>
      <c r="B7" s="13" t="s">
        <v>2</v>
      </c>
      <c r="C7" s="12" t="s">
        <v>26</v>
      </c>
    </row>
    <row r="8" spans="1:3" ht="23.25" x14ac:dyDescent="0.35">
      <c r="A8" s="10"/>
      <c r="B8" s="13" t="s">
        <v>3</v>
      </c>
      <c r="C8" s="12"/>
    </row>
    <row r="9" spans="1:3" ht="23.25" x14ac:dyDescent="0.35">
      <c r="A9" s="10"/>
      <c r="B9" s="13" t="s">
        <v>27</v>
      </c>
      <c r="C9" s="12" t="s">
        <v>28</v>
      </c>
    </row>
    <row r="10" spans="1:3" ht="23.25" x14ac:dyDescent="0.35">
      <c r="A10" s="10"/>
      <c r="B10" s="10"/>
      <c r="C10" s="11"/>
    </row>
    <row r="11" spans="1:3" x14ac:dyDescent="0.2">
      <c r="A11" s="10"/>
      <c r="B11" s="10"/>
      <c r="C11" s="10"/>
    </row>
    <row r="12" spans="1:3" x14ac:dyDescent="0.2">
      <c r="A12" s="10"/>
      <c r="B12" s="10"/>
      <c r="C12" s="10"/>
    </row>
    <row r="13" spans="1:3" x14ac:dyDescent="0.2">
      <c r="A13" s="10"/>
      <c r="B13" s="10"/>
      <c r="C13" s="10"/>
    </row>
    <row r="14" spans="1:3" x14ac:dyDescent="0.2">
      <c r="A14" s="10"/>
      <c r="B14" s="10"/>
      <c r="C14" s="10"/>
    </row>
    <row r="15" spans="1:3" x14ac:dyDescent="0.2">
      <c r="A15" s="10"/>
      <c r="B15" s="10"/>
      <c r="C15" s="10"/>
    </row>
    <row r="18" spans="2:8" x14ac:dyDescent="0.2">
      <c r="B18" s="1"/>
    </row>
    <row r="21" spans="2:8" ht="20.25" x14ac:dyDescent="0.3">
      <c r="B21" s="14" t="s">
        <v>4</v>
      </c>
      <c r="C21" s="17" t="s">
        <v>29</v>
      </c>
      <c r="D21" s="4"/>
      <c r="E21" s="3"/>
      <c r="F21" s="3"/>
      <c r="G21" s="3"/>
    </row>
    <row r="22" spans="2:8" ht="20.25" x14ac:dyDescent="0.3">
      <c r="B22" s="15" t="s">
        <v>5</v>
      </c>
      <c r="C22" s="16">
        <v>40372</v>
      </c>
      <c r="D22" s="6"/>
      <c r="E22" s="7"/>
      <c r="F22" s="7"/>
      <c r="G22" s="7"/>
      <c r="H22" s="5"/>
    </row>
    <row r="23" spans="2:8" x14ac:dyDescent="0.2">
      <c r="B23" s="8"/>
      <c r="C23" s="6"/>
      <c r="D23" s="7"/>
      <c r="E23" s="7"/>
      <c r="F23" s="7"/>
      <c r="G23" s="7"/>
      <c r="H23" s="5"/>
    </row>
    <row r="24" spans="2:8" x14ac:dyDescent="0.2">
      <c r="B24" s="5"/>
      <c r="C24" s="5"/>
      <c r="D24" s="5"/>
      <c r="E24" s="5"/>
      <c r="F24" s="5"/>
      <c r="G24" s="5"/>
      <c r="H24" s="5"/>
    </row>
    <row r="25" spans="2:8" x14ac:dyDescent="0.2">
      <c r="B25" s="5"/>
      <c r="C25" s="6"/>
      <c r="D25" s="7"/>
      <c r="E25" s="7"/>
      <c r="F25" s="7"/>
      <c r="G25" s="7"/>
      <c r="H25" s="5"/>
    </row>
    <row r="26" spans="2:8" x14ac:dyDescent="0.2">
      <c r="B26" s="36" t="s">
        <v>17</v>
      </c>
      <c r="C26" s="35">
        <v>42459</v>
      </c>
      <c r="D26" s="7"/>
      <c r="E26" s="7"/>
      <c r="F26" s="7"/>
      <c r="G26" s="7"/>
      <c r="H26" s="5"/>
    </row>
    <row r="27" spans="2:8" x14ac:dyDescent="0.2">
      <c r="B27" s="5"/>
      <c r="C27" s="5"/>
      <c r="D27" s="5"/>
      <c r="E27" s="5"/>
      <c r="F27" s="5"/>
      <c r="G27" s="5"/>
      <c r="H27" s="5"/>
    </row>
    <row r="28" spans="2:8" x14ac:dyDescent="0.2">
      <c r="B28" s="8"/>
      <c r="C28" s="6"/>
      <c r="D28" s="7"/>
      <c r="E28" s="7"/>
      <c r="F28" s="7"/>
      <c r="G28" s="7"/>
      <c r="H28" s="5"/>
    </row>
    <row r="29" spans="2:8" x14ac:dyDescent="0.2">
      <c r="B29" s="5"/>
      <c r="C29" s="5"/>
      <c r="D29" s="5"/>
      <c r="E29" s="5"/>
      <c r="F29" s="5"/>
      <c r="G29" s="5"/>
      <c r="H29" s="5"/>
    </row>
    <row r="30" spans="2:8" x14ac:dyDescent="0.2">
      <c r="B30" s="5"/>
      <c r="C30" s="5"/>
      <c r="D30" s="5"/>
      <c r="E30" s="5"/>
      <c r="F30" s="5"/>
      <c r="G30" s="5"/>
      <c r="H30" s="5"/>
    </row>
  </sheetData>
  <mergeCells count="1">
    <mergeCell ref="B5:C5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view="pageBreakPreview" zoomScale="90" zoomScaleNormal="100" zoomScaleSheetLayoutView="90" workbookViewId="0">
      <selection activeCell="L28" sqref="L28"/>
    </sheetView>
  </sheetViews>
  <sheetFormatPr defaultRowHeight="12.75" x14ac:dyDescent="0.2"/>
  <cols>
    <col min="1" max="1" width="22.5703125" bestFit="1" customWidth="1"/>
    <col min="2" max="2" width="15.7109375" customWidth="1"/>
    <col min="3" max="3" width="15.5703125" customWidth="1"/>
    <col min="4" max="6" width="15.7109375" customWidth="1"/>
    <col min="7" max="7" width="15.7109375" style="105" customWidth="1"/>
    <col min="8" max="9" width="15.7109375" customWidth="1"/>
    <col min="10" max="10" width="15.7109375" style="32" customWidth="1"/>
    <col min="11" max="13" width="15.7109375" customWidth="1"/>
    <col min="14" max="14" width="15.7109375" style="105" customWidth="1"/>
  </cols>
  <sheetData>
    <row r="1" spans="1:14" x14ac:dyDescent="0.2">
      <c r="A1" s="20"/>
      <c r="B1" s="116" t="s">
        <v>40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6"/>
      <c r="N1" s="106"/>
    </row>
    <row r="2" spans="1:14" s="18" customFormat="1" ht="15" x14ac:dyDescent="0.25">
      <c r="A2" s="21"/>
      <c r="B2" s="25">
        <v>1</v>
      </c>
      <c r="C2" s="59">
        <v>2</v>
      </c>
      <c r="D2" s="25">
        <v>3</v>
      </c>
      <c r="E2" s="22">
        <v>4</v>
      </c>
      <c r="F2" s="23">
        <v>5</v>
      </c>
      <c r="G2" s="91" t="s">
        <v>48</v>
      </c>
      <c r="H2" s="22">
        <v>6</v>
      </c>
      <c r="I2" s="23">
        <v>7</v>
      </c>
      <c r="J2" s="24">
        <v>8</v>
      </c>
      <c r="K2" s="59">
        <v>9</v>
      </c>
      <c r="L2" s="25">
        <v>10</v>
      </c>
      <c r="M2" s="25">
        <v>11</v>
      </c>
      <c r="N2" s="107" t="s">
        <v>60</v>
      </c>
    </row>
    <row r="3" spans="1:14" s="18" customFormat="1" x14ac:dyDescent="0.2">
      <c r="A3" s="21"/>
      <c r="B3" s="26"/>
      <c r="C3" s="27"/>
      <c r="D3" s="26"/>
      <c r="E3" s="26"/>
      <c r="F3" s="27"/>
      <c r="G3" s="92"/>
      <c r="H3" s="26"/>
      <c r="I3" s="27"/>
      <c r="J3" s="26"/>
      <c r="K3" s="27"/>
      <c r="L3" s="26"/>
      <c r="M3" s="26"/>
      <c r="N3" s="92"/>
    </row>
    <row r="4" spans="1:14" s="32" customFormat="1" ht="30" customHeight="1" x14ac:dyDescent="0.2">
      <c r="A4" s="28" t="s">
        <v>7</v>
      </c>
      <c r="B4" s="29" t="s">
        <v>30</v>
      </c>
      <c r="C4" s="30" t="s">
        <v>30</v>
      </c>
      <c r="D4" s="29" t="s">
        <v>30</v>
      </c>
      <c r="E4" s="29" t="s">
        <v>30</v>
      </c>
      <c r="F4" s="30" t="s">
        <v>32</v>
      </c>
      <c r="G4" s="93" t="s">
        <v>32</v>
      </c>
      <c r="H4" s="29" t="s">
        <v>33</v>
      </c>
      <c r="I4" s="30" t="s">
        <v>31</v>
      </c>
      <c r="J4" s="29" t="s">
        <v>34</v>
      </c>
      <c r="K4" s="30" t="s">
        <v>30</v>
      </c>
      <c r="L4" s="31" t="s">
        <v>30</v>
      </c>
      <c r="M4" s="31" t="s">
        <v>30</v>
      </c>
      <c r="N4" s="93" t="s">
        <v>30</v>
      </c>
    </row>
    <row r="5" spans="1:14" ht="30" customHeight="1" x14ac:dyDescent="0.2">
      <c r="A5" s="44" t="s">
        <v>8</v>
      </c>
      <c r="B5" s="45">
        <f>'[1]Alt #1'!$B$9</f>
        <v>765</v>
      </c>
      <c r="C5" s="45">
        <f>'[2]Alt #2'!$B$9</f>
        <v>820</v>
      </c>
      <c r="D5" s="45">
        <f>'[3]Alt #3'!$B$9</f>
        <v>820</v>
      </c>
      <c r="E5" s="45">
        <f>'[4]Alt #4'!$B$9</f>
        <v>805</v>
      </c>
      <c r="F5" s="45">
        <f>'[5]Alt #5'!$B$9</f>
        <v>280</v>
      </c>
      <c r="G5" s="94">
        <f>'[6]Alt #5A'!$B$9</f>
        <v>792</v>
      </c>
      <c r="H5" s="45">
        <f>'[7]Alt #6'!$B$9</f>
        <v>760</v>
      </c>
      <c r="I5" s="46">
        <f>'[8]Alt #7'!$B$9</f>
        <v>525</v>
      </c>
      <c r="J5" s="47">
        <f>'[9]Alt #8'!$B$9</f>
        <v>720</v>
      </c>
      <c r="K5" s="45">
        <f>'[10]Alt #9'!$B$9</f>
        <v>833</v>
      </c>
      <c r="L5" s="45">
        <f>'[11]Alt #10'!$B$9</f>
        <v>750</v>
      </c>
      <c r="M5" s="45">
        <f>'[12]Alt #11'!$B$9</f>
        <v>820</v>
      </c>
      <c r="N5" s="94">
        <f>'[13]Alt #11A'!$B$9</f>
        <v>820</v>
      </c>
    </row>
    <row r="6" spans="1:14" ht="30" customHeight="1" x14ac:dyDescent="0.2">
      <c r="A6" s="49" t="s">
        <v>9</v>
      </c>
      <c r="B6" s="50">
        <f>[14]QTY!$D$12</f>
        <v>335</v>
      </c>
      <c r="C6" s="50">
        <f>[15]QTY!$D$12</f>
        <v>280</v>
      </c>
      <c r="D6" s="50">
        <f>[16]QTY!$D$12</f>
        <v>280</v>
      </c>
      <c r="E6" s="50">
        <f>[17]QTY!$D$12</f>
        <v>280</v>
      </c>
      <c r="F6" s="50">
        <f>[18]QTY!$D$12</f>
        <v>340</v>
      </c>
      <c r="G6" s="94">
        <f>[19]QTY!$D$12</f>
        <v>340</v>
      </c>
      <c r="H6" s="50">
        <f>[20]QTY!$D$12</f>
        <v>470</v>
      </c>
      <c r="I6" s="51">
        <f>[21]QTY!$D$12</f>
        <v>385</v>
      </c>
      <c r="J6" s="52">
        <f>[22]QTY!$D$12</f>
        <v>280</v>
      </c>
      <c r="K6" s="50">
        <f>[23]QTY!$D$12</f>
        <v>267</v>
      </c>
      <c r="L6" s="50">
        <f>[24]QTY!$D$12</f>
        <v>350</v>
      </c>
      <c r="M6" s="50">
        <f>[25]QTY!$D$12</f>
        <v>280</v>
      </c>
      <c r="N6" s="94">
        <v>300</v>
      </c>
    </row>
    <row r="7" spans="1:14" ht="30" customHeight="1" x14ac:dyDescent="0.2">
      <c r="A7" s="44" t="s">
        <v>10</v>
      </c>
      <c r="B7" s="45">
        <f>B5+B6</f>
        <v>1100</v>
      </c>
      <c r="C7" s="45">
        <f t="shared" ref="C7:M7" si="0">C5+C6</f>
        <v>1100</v>
      </c>
      <c r="D7" s="45">
        <f t="shared" si="0"/>
        <v>1100</v>
      </c>
      <c r="E7" s="45">
        <f t="shared" si="0"/>
        <v>1085</v>
      </c>
      <c r="F7" s="45">
        <f t="shared" si="0"/>
        <v>620</v>
      </c>
      <c r="G7" s="94">
        <f t="shared" si="0"/>
        <v>1132</v>
      </c>
      <c r="H7" s="45">
        <f t="shared" si="0"/>
        <v>1230</v>
      </c>
      <c r="I7" s="45">
        <f t="shared" si="0"/>
        <v>910</v>
      </c>
      <c r="J7" s="45">
        <f t="shared" si="0"/>
        <v>1000</v>
      </c>
      <c r="K7" s="45">
        <f t="shared" si="0"/>
        <v>1100</v>
      </c>
      <c r="L7" s="45">
        <f t="shared" si="0"/>
        <v>1100</v>
      </c>
      <c r="M7" s="45">
        <f t="shared" si="0"/>
        <v>1100</v>
      </c>
      <c r="N7" s="94">
        <f t="shared" ref="N7" si="1">N5+N6</f>
        <v>1120</v>
      </c>
    </row>
    <row r="8" spans="1:14" ht="30" customHeight="1" x14ac:dyDescent="0.2">
      <c r="A8" s="53" t="s">
        <v>35</v>
      </c>
      <c r="B8" s="50">
        <v>15</v>
      </c>
      <c r="C8" s="50">
        <v>20</v>
      </c>
      <c r="D8" s="50">
        <v>15</v>
      </c>
      <c r="E8" s="50">
        <v>15</v>
      </c>
      <c r="F8" s="50">
        <v>15</v>
      </c>
      <c r="G8" s="94">
        <v>15</v>
      </c>
      <c r="H8" s="50">
        <v>20</v>
      </c>
      <c r="I8" s="51">
        <v>15</v>
      </c>
      <c r="J8" s="52">
        <v>15</v>
      </c>
      <c r="K8" s="50">
        <v>15</v>
      </c>
      <c r="L8" s="50">
        <v>15</v>
      </c>
      <c r="M8" s="50">
        <v>15</v>
      </c>
      <c r="N8" s="94">
        <v>15</v>
      </c>
    </row>
    <row r="9" spans="1:14" ht="30" customHeight="1" x14ac:dyDescent="0.2">
      <c r="A9" s="48" t="s">
        <v>36</v>
      </c>
      <c r="B9" s="45">
        <v>9.1999999999999993</v>
      </c>
      <c r="C9" s="45">
        <v>10</v>
      </c>
      <c r="D9" s="45">
        <v>9.5</v>
      </c>
      <c r="E9" s="45">
        <v>9.5</v>
      </c>
      <c r="F9" s="45">
        <v>10.4</v>
      </c>
      <c r="G9" s="94">
        <v>10</v>
      </c>
      <c r="H9" s="45">
        <v>7</v>
      </c>
      <c r="I9" s="46">
        <v>12.6</v>
      </c>
      <c r="J9" s="47">
        <v>12.8</v>
      </c>
      <c r="K9" s="45">
        <v>12</v>
      </c>
      <c r="L9" s="45">
        <v>12</v>
      </c>
      <c r="M9" s="45">
        <v>10</v>
      </c>
      <c r="N9" s="94">
        <v>10</v>
      </c>
    </row>
    <row r="10" spans="1:14" ht="30" customHeight="1" x14ac:dyDescent="0.2">
      <c r="A10" s="54" t="s">
        <v>11</v>
      </c>
      <c r="B10" s="50">
        <f>'[1]Alt #1'!$E$10+'[1]Alt #1'!$E$11</f>
        <v>18510</v>
      </c>
      <c r="C10" s="50">
        <f>'[2]Alt #2'!$E$10+'[2]Alt #2'!$E$11</f>
        <v>20900</v>
      </c>
      <c r="D10" s="50">
        <f>'[3]Alt #3'!$E$10+'[3]Alt #3'!$E$11</f>
        <v>15700</v>
      </c>
      <c r="E10" s="50">
        <f>'[4]Alt #4'!$E$10+'[4]Alt #4'!$E$11</f>
        <v>15280</v>
      </c>
      <c r="F10" s="50">
        <f>'[5]Alt #5'!$E$10+'[5]Alt #5'!$E$11</f>
        <v>12690</v>
      </c>
      <c r="G10" s="94">
        <f>'[6]Alt #5A'!$E$10+'[6]Alt #5A'!$E$11</f>
        <v>15089</v>
      </c>
      <c r="H10" s="50">
        <f>'[7]Alt #6'!$E$10+'[7]Alt #6'!$E$11</f>
        <v>56300</v>
      </c>
      <c r="I10" s="51">
        <f>'[8]Alt #7'!$E$10+'[8]Alt #7'!$E$11</f>
        <v>14000</v>
      </c>
      <c r="J10" s="52">
        <f>'[9]Alt #8'!$E$10+'[9]Alt #8'!$E$11</f>
        <v>34400</v>
      </c>
      <c r="K10" s="50">
        <v>13463</v>
      </c>
      <c r="L10" s="50">
        <v>12856</v>
      </c>
      <c r="M10" s="50">
        <f>'[12]Alt #11'!$E$10+'[12]Alt #11'!$E$11</f>
        <v>14600</v>
      </c>
      <c r="N10" s="94">
        <f>'[13]Alt #11A'!$E$10+'[13]Alt #11A'!$E$11</f>
        <v>15900</v>
      </c>
    </row>
    <row r="11" spans="1:14" ht="30" customHeight="1" x14ac:dyDescent="0.2">
      <c r="A11" s="48" t="s">
        <v>55</v>
      </c>
      <c r="B11" s="60">
        <v>11</v>
      </c>
      <c r="C11" s="60">
        <v>10</v>
      </c>
      <c r="D11" s="60">
        <v>10</v>
      </c>
      <c r="E11" s="60">
        <v>8</v>
      </c>
      <c r="F11" s="60">
        <v>5</v>
      </c>
      <c r="G11" s="95">
        <v>10</v>
      </c>
      <c r="H11" s="60">
        <v>9</v>
      </c>
      <c r="I11" s="61">
        <v>3</v>
      </c>
      <c r="J11" s="62">
        <v>20</v>
      </c>
      <c r="K11" s="60">
        <v>7</v>
      </c>
      <c r="L11" s="60">
        <v>10</v>
      </c>
      <c r="M11" s="60">
        <v>9</v>
      </c>
      <c r="N11" s="95">
        <v>9</v>
      </c>
    </row>
    <row r="12" spans="1:14" ht="30" customHeight="1" x14ac:dyDescent="0.2">
      <c r="A12" s="49" t="s">
        <v>12</v>
      </c>
      <c r="B12" s="50">
        <f>[1]ROW!$D$6</f>
        <v>3</v>
      </c>
      <c r="C12" s="50">
        <f>[2]ROW!$D$6</f>
        <v>2</v>
      </c>
      <c r="D12" s="50">
        <f>[3]ROW!$D$6</f>
        <v>0</v>
      </c>
      <c r="E12" s="50">
        <f>[4]ROW!$D$6</f>
        <v>1</v>
      </c>
      <c r="F12" s="50">
        <f>[5]ROW!$D$6</f>
        <v>0</v>
      </c>
      <c r="G12" s="94">
        <v>0</v>
      </c>
      <c r="H12" s="50">
        <f>[7]ROW!$D$6</f>
        <v>0</v>
      </c>
      <c r="I12" s="51">
        <f>[8]ROW!$D$6</f>
        <v>2</v>
      </c>
      <c r="J12" s="52">
        <f>[9]ROW!$D$6</f>
        <v>0</v>
      </c>
      <c r="K12" s="50">
        <v>0</v>
      </c>
      <c r="L12" s="50">
        <v>0</v>
      </c>
      <c r="M12" s="50">
        <v>1</v>
      </c>
      <c r="N12" s="94">
        <v>1</v>
      </c>
    </row>
    <row r="13" spans="1:14" ht="5.0999999999999996" customHeight="1" x14ac:dyDescent="0.2">
      <c r="A13" s="118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20"/>
      <c r="M13" s="42"/>
      <c r="N13" s="108"/>
    </row>
    <row r="14" spans="1:14" ht="30" customHeight="1" x14ac:dyDescent="0.2">
      <c r="A14" s="63" t="s">
        <v>63</v>
      </c>
      <c r="B14" s="64">
        <f>'[1]Alt #1'!$H$110</f>
        <v>3999206.1367995795</v>
      </c>
      <c r="C14" s="65">
        <f>'[2]Alt #2'!$H$110</f>
        <v>3744165.3076189286</v>
      </c>
      <c r="D14" s="66">
        <f>'[3]Alt #3'!$H$110</f>
        <v>4130738.1818262707</v>
      </c>
      <c r="E14" s="64">
        <f>'[4]Alt #4'!$H$110</f>
        <v>3390910.8764125155</v>
      </c>
      <c r="F14" s="64">
        <f>'[5]Alt #5'!$H$110</f>
        <v>3576526.2735155495</v>
      </c>
      <c r="G14" s="96">
        <f>'[6]Alt #5A'!$H$110</f>
        <v>3816362.134182374</v>
      </c>
      <c r="H14" s="64">
        <f>'[7]Alt #6'!$H$110</f>
        <v>5894471.2079832759</v>
      </c>
      <c r="I14" s="65">
        <f>'[8]Alt #7'!$H$110</f>
        <v>3547665.0868894667</v>
      </c>
      <c r="J14" s="68">
        <f>'[9]Alt #8'!$H$110</f>
        <v>3476570.4374178401</v>
      </c>
      <c r="K14" s="64">
        <f>'[10]Alt #9'!$H$110</f>
        <v>3274512.8711455707</v>
      </c>
      <c r="L14" s="64">
        <f>'[11]Alt #10'!$H$110</f>
        <v>4270904.2010460086</v>
      </c>
      <c r="M14" s="67">
        <f>'[12]Alt #11'!$H$110</f>
        <v>3468993.1080439286</v>
      </c>
      <c r="N14" s="96">
        <f>'[13]Alt #11A'!$H$110</f>
        <v>3446224.4066689289</v>
      </c>
    </row>
    <row r="15" spans="1:14" ht="15" customHeight="1" x14ac:dyDescent="0.2">
      <c r="A15" s="79" t="s">
        <v>21</v>
      </c>
      <c r="B15" s="80" t="s">
        <v>61</v>
      </c>
      <c r="C15" s="80" t="s">
        <v>61</v>
      </c>
      <c r="D15" s="80" t="s">
        <v>61</v>
      </c>
      <c r="E15" s="80" t="s">
        <v>61</v>
      </c>
      <c r="F15" s="80" t="s">
        <v>61</v>
      </c>
      <c r="G15" s="97" t="s">
        <v>61</v>
      </c>
      <c r="H15" s="80" t="s">
        <v>61</v>
      </c>
      <c r="I15" s="80" t="s">
        <v>61</v>
      </c>
      <c r="J15" s="80" t="s">
        <v>61</v>
      </c>
      <c r="K15" s="80" t="s">
        <v>61</v>
      </c>
      <c r="L15" s="80" t="s">
        <v>61</v>
      </c>
      <c r="M15" s="80" t="s">
        <v>61</v>
      </c>
      <c r="N15" s="97" t="s">
        <v>61</v>
      </c>
    </row>
    <row r="16" spans="1:14" ht="15" customHeight="1" x14ac:dyDescent="0.2">
      <c r="A16" s="81" t="s">
        <v>38</v>
      </c>
      <c r="B16" s="82">
        <v>4494000</v>
      </c>
      <c r="C16" s="83">
        <v>4207000</v>
      </c>
      <c r="D16" s="84">
        <v>4641000</v>
      </c>
      <c r="E16" s="85">
        <v>3810000</v>
      </c>
      <c r="F16" s="83">
        <v>4019000</v>
      </c>
      <c r="G16" s="98">
        <v>4288000</v>
      </c>
      <c r="H16" s="82">
        <v>6623000</v>
      </c>
      <c r="I16" s="83">
        <v>3986000</v>
      </c>
      <c r="J16" s="82">
        <v>3907000</v>
      </c>
      <c r="K16" s="83">
        <v>3680000</v>
      </c>
      <c r="L16" s="86">
        <v>4799000</v>
      </c>
      <c r="M16" s="86">
        <v>3898000</v>
      </c>
      <c r="N16" s="109">
        <v>3872000</v>
      </c>
    </row>
    <row r="17" spans="1:17" ht="30" customHeight="1" x14ac:dyDescent="0.2">
      <c r="A17" s="69" t="s">
        <v>16</v>
      </c>
      <c r="B17" s="70">
        <f>'[1]Alt #1'!$L$114</f>
        <v>700000</v>
      </c>
      <c r="C17" s="70">
        <f>'[2]Alt #2'!$L$114</f>
        <v>700000</v>
      </c>
      <c r="D17" s="70">
        <f>'[3]Alt #3'!$L$114</f>
        <v>700000</v>
      </c>
      <c r="E17" s="70">
        <f>'[4]Alt #4'!$L$114</f>
        <v>700000</v>
      </c>
      <c r="F17" s="70">
        <f>'[5]Alt #5'!$L$114</f>
        <v>700000</v>
      </c>
      <c r="G17" s="99">
        <v>700000</v>
      </c>
      <c r="H17" s="70">
        <f>'[7]Alt #6'!$L$114</f>
        <v>700000</v>
      </c>
      <c r="I17" s="70">
        <f>'[8]Alt #7'!$L$114</f>
        <v>700000</v>
      </c>
      <c r="J17" s="70">
        <f>'[9]Alt #8'!$L$114</f>
        <v>700000</v>
      </c>
      <c r="K17" s="70">
        <f>'[10]Alt #9'!$L$114</f>
        <v>700000</v>
      </c>
      <c r="L17" s="70">
        <f>'[11]Alt #10'!$L$114</f>
        <v>700000</v>
      </c>
      <c r="M17" s="70">
        <f>'[11]Alt #10'!$L$114</f>
        <v>700000</v>
      </c>
      <c r="N17" s="99">
        <f>'[13]Alt #11A'!$L$114</f>
        <v>700000</v>
      </c>
    </row>
    <row r="18" spans="1:17" ht="15" hidden="1" customHeight="1" x14ac:dyDescent="0.2">
      <c r="A18" s="71" t="s">
        <v>22</v>
      </c>
      <c r="B18" s="72" t="s">
        <v>24</v>
      </c>
      <c r="C18" s="72" t="s">
        <v>24</v>
      </c>
      <c r="D18" s="72" t="s">
        <v>24</v>
      </c>
      <c r="E18" s="72" t="s">
        <v>24</v>
      </c>
      <c r="F18" s="72" t="s">
        <v>24</v>
      </c>
      <c r="G18" s="100" t="s">
        <v>24</v>
      </c>
      <c r="H18" s="72" t="s">
        <v>24</v>
      </c>
      <c r="I18" s="72" t="s">
        <v>24</v>
      </c>
      <c r="J18" s="72" t="s">
        <v>24</v>
      </c>
      <c r="K18" s="72" t="s">
        <v>24</v>
      </c>
      <c r="L18" s="72" t="s">
        <v>24</v>
      </c>
      <c r="M18" s="72" t="s">
        <v>24</v>
      </c>
      <c r="N18" s="100" t="s">
        <v>24</v>
      </c>
    </row>
    <row r="19" spans="1:17" ht="15" hidden="1" customHeight="1" x14ac:dyDescent="0.2">
      <c r="A19" s="73" t="s">
        <v>23</v>
      </c>
      <c r="B19" s="74">
        <v>0</v>
      </c>
      <c r="C19" s="75">
        <v>0</v>
      </c>
      <c r="D19" s="74">
        <v>0</v>
      </c>
      <c r="E19" s="76">
        <v>0</v>
      </c>
      <c r="F19" s="74">
        <v>0</v>
      </c>
      <c r="G19" s="101">
        <v>0</v>
      </c>
      <c r="H19" s="75">
        <v>0</v>
      </c>
      <c r="I19" s="74">
        <v>0</v>
      </c>
      <c r="J19" s="75">
        <v>0</v>
      </c>
      <c r="K19" s="74">
        <v>0</v>
      </c>
      <c r="L19" s="74">
        <v>0</v>
      </c>
      <c r="M19" s="74">
        <v>0</v>
      </c>
      <c r="N19" s="101">
        <v>0</v>
      </c>
      <c r="P19" s="19" t="s">
        <v>18</v>
      </c>
    </row>
    <row r="20" spans="1:17" ht="30" customHeight="1" x14ac:dyDescent="0.2">
      <c r="A20" s="87" t="s">
        <v>14</v>
      </c>
      <c r="B20" s="55">
        <f>[1]ROW!$F$9</f>
        <v>1110000</v>
      </c>
      <c r="C20" s="88">
        <f>[2]ROW!$F$10</f>
        <v>725000</v>
      </c>
      <c r="D20" s="88">
        <f>[3]ROW!$F$10</f>
        <v>240000</v>
      </c>
      <c r="E20" s="88">
        <f>[4]ROW!$F$10</f>
        <v>625000</v>
      </c>
      <c r="F20" s="88">
        <f>[5]ROW!$F$10</f>
        <v>140000</v>
      </c>
      <c r="G20" s="102">
        <f>[6]ROW!$F$10</f>
        <v>300000</v>
      </c>
      <c r="H20" s="88">
        <f>[7]ROW!$F$9</f>
        <v>405000</v>
      </c>
      <c r="I20" s="88">
        <f>[8]ROW!$F$9</f>
        <v>350000</v>
      </c>
      <c r="J20" s="88">
        <f>[9]ROW!$F$9</f>
        <v>670000</v>
      </c>
      <c r="K20" s="88">
        <f>[10]ROW!$F$10</f>
        <v>230000</v>
      </c>
      <c r="L20" s="88">
        <f>[11]ROW!$F$10</f>
        <v>280000</v>
      </c>
      <c r="M20" s="88">
        <f>[12]ROW!$F$10</f>
        <v>645000</v>
      </c>
      <c r="N20" s="102">
        <f>[13]ROW!$F$10</f>
        <v>720000</v>
      </c>
    </row>
    <row r="21" spans="1:17" ht="30" customHeight="1" x14ac:dyDescent="0.2">
      <c r="A21" s="69" t="s">
        <v>15</v>
      </c>
      <c r="B21" s="70">
        <f>[1]ROW!$F$16</f>
        <v>475000</v>
      </c>
      <c r="C21" s="77">
        <f>[2]ROW!$F$17</f>
        <v>475000</v>
      </c>
      <c r="D21" s="77">
        <f>[3]ROW!$F$17</f>
        <v>475000</v>
      </c>
      <c r="E21" s="70">
        <f>[4]ROW!$F$17</f>
        <v>475000</v>
      </c>
      <c r="F21" s="70">
        <f>[5]ROW!$F$17</f>
        <v>475000</v>
      </c>
      <c r="G21" s="99">
        <f>[6]ROW!$F$17</f>
        <v>635000</v>
      </c>
      <c r="H21" s="70">
        <f>[7]ROW!$F$16</f>
        <v>475000</v>
      </c>
      <c r="I21" s="77">
        <f>[8]ROW!$F$16</f>
        <v>475000</v>
      </c>
      <c r="J21" s="78">
        <f>[9]ROW!$F$16</f>
        <v>475000</v>
      </c>
      <c r="K21" s="70">
        <f>[10]ROW!$F$17</f>
        <v>475000</v>
      </c>
      <c r="L21" s="70">
        <f>[11]ROW!$F$17</f>
        <v>475000</v>
      </c>
      <c r="M21" s="70">
        <f>[12]ROW!$F$17</f>
        <v>475000</v>
      </c>
      <c r="N21" s="99">
        <f>[13]ROW!$F$17</f>
        <v>470000</v>
      </c>
    </row>
    <row r="22" spans="1:17" ht="30" hidden="1" customHeight="1" x14ac:dyDescent="0.2">
      <c r="A22" s="33" t="s">
        <v>20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99"/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99">
        <v>0</v>
      </c>
      <c r="P22" s="40" t="s">
        <v>39</v>
      </c>
    </row>
    <row r="23" spans="1:17" ht="30" customHeight="1" x14ac:dyDescent="0.2">
      <c r="A23" s="89" t="s">
        <v>6</v>
      </c>
      <c r="B23" s="90">
        <f>SUM(B16:B22)</f>
        <v>6779000</v>
      </c>
      <c r="C23" s="90">
        <f t="shared" ref="C23:K23" si="2">SUM(C16:C22)</f>
        <v>6107000</v>
      </c>
      <c r="D23" s="90">
        <f t="shared" si="2"/>
        <v>6056000</v>
      </c>
      <c r="E23" s="90">
        <f t="shared" si="2"/>
        <v>5610000</v>
      </c>
      <c r="F23" s="90">
        <f t="shared" si="2"/>
        <v>5334000</v>
      </c>
      <c r="G23" s="103">
        <f t="shared" si="2"/>
        <v>5923000</v>
      </c>
      <c r="H23" s="90">
        <f t="shared" si="2"/>
        <v>8203000</v>
      </c>
      <c r="I23" s="90">
        <f t="shared" si="2"/>
        <v>5511000</v>
      </c>
      <c r="J23" s="90">
        <f t="shared" si="2"/>
        <v>5752000</v>
      </c>
      <c r="K23" s="90">
        <f t="shared" si="2"/>
        <v>5085000</v>
      </c>
      <c r="L23" s="90">
        <f t="shared" ref="L23:N23" si="3">SUM(L16:L22)</f>
        <v>6254000</v>
      </c>
      <c r="M23" s="90">
        <f t="shared" ref="M23" si="4">SUM(M16:M22)</f>
        <v>5718000</v>
      </c>
      <c r="N23" s="103">
        <f t="shared" si="3"/>
        <v>5762000</v>
      </c>
      <c r="Q23" s="19" t="s">
        <v>19</v>
      </c>
    </row>
    <row r="24" spans="1:17" s="5" customFormat="1" ht="5.0999999999999996" customHeight="1" x14ac:dyDescent="0.2">
      <c r="A24" s="1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3"/>
      <c r="M24" s="43"/>
      <c r="N24" s="110"/>
    </row>
    <row r="25" spans="1:17" ht="131.25" customHeight="1" x14ac:dyDescent="0.2">
      <c r="A25" s="39" t="s">
        <v>13</v>
      </c>
      <c r="B25" s="37" t="s">
        <v>37</v>
      </c>
      <c r="C25" s="38" t="s">
        <v>57</v>
      </c>
      <c r="D25" s="38" t="s">
        <v>56</v>
      </c>
      <c r="E25" s="37" t="s">
        <v>47</v>
      </c>
      <c r="F25" s="37" t="s">
        <v>58</v>
      </c>
      <c r="G25" s="104" t="s">
        <v>49</v>
      </c>
      <c r="H25" s="37" t="s">
        <v>59</v>
      </c>
      <c r="I25" s="38" t="s">
        <v>45</v>
      </c>
      <c r="J25" s="37" t="s">
        <v>44</v>
      </c>
      <c r="K25" s="37" t="s">
        <v>42</v>
      </c>
      <c r="L25" s="37" t="s">
        <v>46</v>
      </c>
      <c r="M25" s="37" t="s">
        <v>50</v>
      </c>
      <c r="N25" s="104" t="s">
        <v>62</v>
      </c>
    </row>
    <row r="26" spans="1:17" x14ac:dyDescent="0.2">
      <c r="G26" s="5"/>
      <c r="L26" s="41" t="s">
        <v>43</v>
      </c>
      <c r="M26" s="41"/>
      <c r="N26" s="114"/>
    </row>
    <row r="27" spans="1:17" x14ac:dyDescent="0.2">
      <c r="C27" s="40"/>
      <c r="G27" s="5"/>
      <c r="L27" s="41" t="s">
        <v>64</v>
      </c>
      <c r="M27" s="41" t="s">
        <v>41</v>
      </c>
      <c r="N27" s="114"/>
    </row>
    <row r="28" spans="1:17" x14ac:dyDescent="0.2">
      <c r="C28" s="40"/>
      <c r="L28" s="2"/>
      <c r="M28" s="2"/>
      <c r="N28" s="111"/>
    </row>
    <row r="30" spans="1:17" x14ac:dyDescent="0.2">
      <c r="M30" s="58">
        <f>AVERAGE(A16:C16,F16,J16,M16)</f>
        <v>4105000</v>
      </c>
      <c r="N30" s="112">
        <f>AVERAGE(B16:D16,G16,K16,N16)</f>
        <v>4197000</v>
      </c>
    </row>
    <row r="31" spans="1:17" x14ac:dyDescent="0.2">
      <c r="M31">
        <v>420000</v>
      </c>
      <c r="N31" s="105">
        <v>420000</v>
      </c>
    </row>
    <row r="32" spans="1:17" x14ac:dyDescent="0.2">
      <c r="M32" s="57">
        <f>AVERAGE(A20:C20,F20,J20,M20)</f>
        <v>658000</v>
      </c>
      <c r="N32" s="113">
        <f>AVERAGE(B20:D20,G20,K20,N20)</f>
        <v>554166.66666666663</v>
      </c>
    </row>
    <row r="33" spans="12:15" x14ac:dyDescent="0.2">
      <c r="M33" s="57">
        <f>AVERAGE(A21:C21,F21,J21,M21)</f>
        <v>475000</v>
      </c>
      <c r="N33" s="113">
        <f>AVERAGE(B21:D21,G21,K21,N21)</f>
        <v>500833.33333333331</v>
      </c>
    </row>
    <row r="34" spans="12:15" x14ac:dyDescent="0.2">
      <c r="M34" s="57">
        <f>SUM(M32:M33)</f>
        <v>1133000</v>
      </c>
      <c r="N34" s="113">
        <f>SUM(N32:N33)</f>
        <v>1055000</v>
      </c>
    </row>
    <row r="36" spans="12:15" x14ac:dyDescent="0.2">
      <c r="L36" t="s">
        <v>51</v>
      </c>
      <c r="M36">
        <v>420000</v>
      </c>
      <c r="N36" s="105">
        <v>420000</v>
      </c>
    </row>
    <row r="37" spans="12:15" x14ac:dyDescent="0.2">
      <c r="L37" t="s">
        <v>53</v>
      </c>
      <c r="M37">
        <v>520000</v>
      </c>
      <c r="N37" s="105">
        <v>520000</v>
      </c>
    </row>
    <row r="38" spans="12:15" x14ac:dyDescent="0.2">
      <c r="L38" t="s">
        <v>52</v>
      </c>
      <c r="M38">
        <v>4100000</v>
      </c>
      <c r="N38" s="105">
        <v>4100000</v>
      </c>
    </row>
    <row r="39" spans="12:15" x14ac:dyDescent="0.2">
      <c r="M39">
        <f>SUM(M36:M38)</f>
        <v>5040000</v>
      </c>
      <c r="N39" s="105">
        <f>SUM(N36:N38)</f>
        <v>5040000</v>
      </c>
      <c r="O39" t="s">
        <v>54</v>
      </c>
    </row>
  </sheetData>
  <mergeCells count="3">
    <mergeCell ref="B1:L1"/>
    <mergeCell ref="A13:L13"/>
    <mergeCell ref="A24:L24"/>
  </mergeCells>
  <printOptions horizontalCentered="1"/>
  <pageMargins left="0.45" right="0.45" top="1.25" bottom="0.75" header="0.3" footer="0.3"/>
  <pageSetup paperSize="3" scale="92" orientation="landscape" r:id="rId1"/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D9321636BF84B81EAF854BE861E95" ma:contentTypeVersion="10" ma:contentTypeDescription="Create a new document." ma:contentTypeScope="" ma:versionID="784a106dcfc3624733dfc4fd22717c31">
  <xsd:schema xmlns:xsd="http://www.w3.org/2001/XMLSchema" xmlns:xs="http://www.w3.org/2001/XMLSchema" xmlns:p="http://schemas.microsoft.com/office/2006/metadata/properties" xmlns:ns1="http://schemas.microsoft.com/sharepoint/v3" xmlns:ns2="e87d405a-4759-43f8-848c-21ef0bd2b117" targetNamespace="http://schemas.microsoft.com/office/2006/metadata/properties" ma:root="true" ma:fieldsID="8bb2f75edee3d5812f0b3971eeae5f37" ns1:_="" ns2:_="">
    <xsd:import namespace="http://schemas.microsoft.com/sharepoint/v3"/>
    <xsd:import namespace="e87d405a-4759-43f8-848c-21ef0bd2b117"/>
    <xsd:element name="properties">
      <xsd:complexType>
        <xsd:sequence>
          <xsd:element name="documentManagement">
            <xsd:complexType>
              <xsd:all>
                <xsd:element ref="ns2:showonfrontpage" minOccurs="0"/>
                <xsd:element ref="ns2:WhatsNew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d405a-4759-43f8-848c-21ef0bd2b117" elementFormDefault="qualified">
    <xsd:import namespace="http://schemas.microsoft.com/office/2006/documentManagement/types"/>
    <xsd:import namespace="http://schemas.microsoft.com/office/infopath/2007/PartnerControls"/>
    <xsd:element name="showonfrontpage" ma:index="4" nillable="true" ma:displayName="showonfrontpage" ma:default="0" ma:internalName="showonfrontpage" ma:readOnly="false">
      <xsd:simpleType>
        <xsd:restriction base="dms:Boolean"/>
      </xsd:simpleType>
    </xsd:element>
    <xsd:element name="WhatsNew" ma:index="5" nillable="true" ma:displayName="WhatsNew" ma:default="0" ma:internalName="WhatsNew_d18e45ac_x002d_d8ad_x002d_41c4_x002d_b7c6_x002d_fcf61d57e33b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axOccurs="1" ma:index="3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showonfrontpage xmlns="e87d405a-4759-43f8-848c-21ef0bd2b117">false</showonfrontpage>
    <WhatsNew xmlns="e87d405a-4759-43f8-848c-21ef0bd2b117">false</WhatsNew>
  </documentManagement>
</p:properties>
</file>

<file path=customXml/itemProps1.xml><?xml version="1.0" encoding="utf-8"?>
<ds:datastoreItem xmlns:ds="http://schemas.openxmlformats.org/officeDocument/2006/customXml" ds:itemID="{33DF1D4D-07FD-4EC0-A783-BA1291EA2BE0}"/>
</file>

<file path=customXml/itemProps2.xml><?xml version="1.0" encoding="utf-8"?>
<ds:datastoreItem xmlns:ds="http://schemas.openxmlformats.org/officeDocument/2006/customXml" ds:itemID="{F9FCB91E-50CA-4F04-AB42-9B98E708DAA6}"/>
</file>

<file path=customXml/itemProps3.xml><?xml version="1.0" encoding="utf-8"?>
<ds:datastoreItem xmlns:ds="http://schemas.openxmlformats.org/officeDocument/2006/customXml" ds:itemID="{D32E80A6-1D40-4B40-A2FC-5647B17A17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Front Page</vt:lpstr>
      <vt:lpstr>Summary</vt:lpstr>
      <vt:lpstr>Summary!Print_Area</vt:lpstr>
    </vt:vector>
  </TitlesOfParts>
  <Company>WVDOH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COST Madison RROP Cost summary</dc:title>
  <dc:creator>ftolaymat</dc:creator>
  <cp:lastModifiedBy>Abbott, Scott D</cp:lastModifiedBy>
  <cp:lastPrinted>2013-01-22T13:23:36Z</cp:lastPrinted>
  <dcterms:created xsi:type="dcterms:W3CDTF">2006-09-11T18:00:15Z</dcterms:created>
  <dcterms:modified xsi:type="dcterms:W3CDTF">2013-01-23T14:12:21Z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0x010100306D9321636BF84B81EAF854BE861E95</vt:lpwstr>
  </property>
</Properties>
</file>